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ager\Desktop\База знаний Франшиза\"/>
    </mc:Choice>
  </mc:AlternateContent>
  <bookViews>
    <workbookView xWindow="240" yWindow="105" windowWidth="20115" windowHeight="7680"/>
  </bookViews>
  <sheets>
    <sheet name="Форма" sheetId="6" r:id="rId1"/>
    <sheet name="коэф.сезонности" sheetId="2" state="hidden" r:id="rId2"/>
    <sheet name="статистика" sheetId="3" state="hidden" r:id="rId3"/>
  </sheets>
  <definedNames>
    <definedName name="_xlnm._FilterDatabase" localSheetId="2" hidden="1">статистика!$A$2:$AA$2</definedName>
    <definedName name="OLE_LINK1" localSheetId="0">Форма!$C$23</definedName>
  </definedNames>
  <calcPr calcId="152511"/>
</workbook>
</file>

<file path=xl/calcChain.xml><?xml version="1.0" encoding="utf-8"?>
<calcChain xmlns="http://schemas.openxmlformats.org/spreadsheetml/2006/main">
  <c r="C48" i="6" l="1"/>
  <c r="C47" i="6"/>
  <c r="C31" i="6"/>
  <c r="C29" i="6"/>
  <c r="C30" i="6" s="1"/>
  <c r="I26" i="3" l="1"/>
  <c r="H26" i="3"/>
  <c r="G26" i="3"/>
  <c r="F26" i="3"/>
  <c r="E26" i="3"/>
  <c r="D26" i="3"/>
  <c r="C26" i="3"/>
  <c r="O14" i="3"/>
  <c r="P14" i="3" s="1"/>
  <c r="N14" i="3"/>
  <c r="M14" i="3"/>
  <c r="L14" i="3"/>
  <c r="K14" i="3"/>
  <c r="J14" i="3"/>
  <c r="O17" i="3"/>
  <c r="P17" i="3" s="1"/>
  <c r="N17" i="3"/>
  <c r="M17" i="3"/>
  <c r="L17" i="3"/>
  <c r="K17" i="3"/>
  <c r="J17" i="3"/>
  <c r="O22" i="3"/>
  <c r="P22" i="3" s="1"/>
  <c r="N22" i="3"/>
  <c r="M22" i="3"/>
  <c r="L22" i="3"/>
  <c r="K22" i="3"/>
  <c r="J22" i="3"/>
  <c r="O15" i="3"/>
  <c r="P15" i="3" s="1"/>
  <c r="N15" i="3"/>
  <c r="M15" i="3"/>
  <c r="L15" i="3"/>
  <c r="K15" i="3"/>
  <c r="J15" i="3"/>
  <c r="O21" i="3"/>
  <c r="P21" i="3" s="1"/>
  <c r="N21" i="3"/>
  <c r="M21" i="3"/>
  <c r="L21" i="3"/>
  <c r="K21" i="3"/>
  <c r="J21" i="3"/>
  <c r="O16" i="3"/>
  <c r="P16" i="3" s="1"/>
  <c r="N16" i="3"/>
  <c r="M16" i="3"/>
  <c r="L16" i="3"/>
  <c r="K16" i="3"/>
  <c r="J16" i="3"/>
  <c r="O11" i="3"/>
  <c r="P11" i="3" s="1"/>
  <c r="N11" i="3"/>
  <c r="M11" i="3"/>
  <c r="L11" i="3"/>
  <c r="K11" i="3"/>
  <c r="J11" i="3"/>
  <c r="O10" i="3"/>
  <c r="P10" i="3" s="1"/>
  <c r="N10" i="3"/>
  <c r="M10" i="3"/>
  <c r="L10" i="3"/>
  <c r="K10" i="3"/>
  <c r="J10" i="3"/>
  <c r="O7" i="3"/>
  <c r="P7" i="3" s="1"/>
  <c r="N7" i="3"/>
  <c r="M7" i="3"/>
  <c r="L7" i="3"/>
  <c r="K7" i="3"/>
  <c r="J7" i="3"/>
  <c r="O13" i="3"/>
  <c r="P13" i="3" s="1"/>
  <c r="N13" i="3"/>
  <c r="M13" i="3"/>
  <c r="L13" i="3"/>
  <c r="K13" i="3"/>
  <c r="J13" i="3"/>
  <c r="O9" i="3"/>
  <c r="P9" i="3" s="1"/>
  <c r="N9" i="3"/>
  <c r="M9" i="3"/>
  <c r="L9" i="3"/>
  <c r="K9" i="3"/>
  <c r="J9" i="3"/>
  <c r="O4" i="3"/>
  <c r="P4" i="3" s="1"/>
  <c r="N4" i="3"/>
  <c r="M4" i="3"/>
  <c r="L4" i="3"/>
  <c r="K4" i="3"/>
  <c r="J4" i="3"/>
  <c r="O6" i="3"/>
  <c r="P6" i="3" s="1"/>
  <c r="N6" i="3"/>
  <c r="M6" i="3"/>
  <c r="L6" i="3"/>
  <c r="K6" i="3"/>
  <c r="J6" i="3"/>
  <c r="O3" i="3"/>
  <c r="P3" i="3" s="1"/>
  <c r="N3" i="3"/>
  <c r="M3" i="3"/>
  <c r="L3" i="3"/>
  <c r="K3" i="3"/>
  <c r="J3" i="3"/>
  <c r="O8" i="3"/>
  <c r="P8" i="3" s="1"/>
  <c r="N8" i="3"/>
  <c r="M8" i="3"/>
  <c r="L8" i="3"/>
  <c r="K8" i="3"/>
  <c r="J8" i="3"/>
  <c r="O5" i="3"/>
  <c r="P5" i="3" s="1"/>
  <c r="N5" i="3"/>
  <c r="M5" i="3"/>
  <c r="L5" i="3"/>
  <c r="K5" i="3"/>
  <c r="J5" i="3"/>
  <c r="O25" i="3"/>
  <c r="N25" i="3"/>
  <c r="M25" i="3"/>
  <c r="L25" i="3"/>
  <c r="K25" i="3"/>
  <c r="J25" i="3"/>
  <c r="O19" i="3"/>
  <c r="P19" i="3" s="1"/>
  <c r="N19" i="3"/>
  <c r="M19" i="3"/>
  <c r="L19" i="3"/>
  <c r="K19" i="3"/>
  <c r="J19" i="3"/>
  <c r="O12" i="3"/>
  <c r="P12" i="3" s="1"/>
  <c r="N12" i="3"/>
  <c r="M12" i="3"/>
  <c r="L12" i="3"/>
  <c r="K12" i="3"/>
  <c r="J12" i="3"/>
  <c r="O20" i="3"/>
  <c r="P20" i="3" s="1"/>
  <c r="N20" i="3"/>
  <c r="M20" i="3"/>
  <c r="L20" i="3"/>
  <c r="K20" i="3"/>
  <c r="J20" i="3"/>
  <c r="O24" i="3"/>
  <c r="P24" i="3" s="1"/>
  <c r="N24" i="3"/>
  <c r="M24" i="3"/>
  <c r="L24" i="3"/>
  <c r="K24" i="3"/>
  <c r="J24" i="3"/>
  <c r="O23" i="3"/>
  <c r="P23" i="3" s="1"/>
  <c r="N23" i="3"/>
  <c r="M23" i="3"/>
  <c r="L23" i="3"/>
  <c r="K23" i="3"/>
  <c r="J23" i="3"/>
  <c r="O18" i="3"/>
  <c r="P18" i="3" s="1"/>
  <c r="N18" i="3"/>
  <c r="M18" i="3"/>
  <c r="L18" i="3"/>
  <c r="K18" i="3"/>
  <c r="J18" i="3"/>
  <c r="L26" i="3" l="1"/>
  <c r="N26" i="3"/>
  <c r="M26" i="3"/>
  <c r="J26" i="3"/>
  <c r="I27" i="3" s="1"/>
  <c r="K26" i="3"/>
  <c r="O26" i="3"/>
  <c r="M27" i="3" l="1"/>
  <c r="F27" i="3"/>
  <c r="L27" i="3"/>
  <c r="N27" i="3"/>
  <c r="D27" i="3"/>
  <c r="E27" i="3"/>
  <c r="J27" i="3"/>
  <c r="K27" i="3"/>
  <c r="G27" i="3"/>
  <c r="C27" i="3"/>
  <c r="H27" i="3"/>
</calcChain>
</file>

<file path=xl/comments1.xml><?xml version="1.0" encoding="utf-8"?>
<comments xmlns="http://schemas.openxmlformats.org/spreadsheetml/2006/main">
  <authors>
    <author>Автор</author>
    <author>Бембеева Марина</author>
  </authors>
  <commentList>
    <comment ref="C30" authorId="0" shapeId="0">
      <text>
        <r>
          <rPr>
            <b/>
            <sz val="9"/>
            <color indexed="81"/>
            <rFont val="Tahoma"/>
            <family val="2"/>
            <charset val="204"/>
          </rPr>
          <t>20% предзаказ по AW-14</t>
        </r>
      </text>
    </comment>
    <comment ref="C38" authorId="1" shapeId="0">
      <text>
        <r>
          <rPr>
            <b/>
            <sz val="9"/>
            <color indexed="81"/>
            <rFont val="Tahoma"/>
            <family val="2"/>
            <charset val="204"/>
          </rPr>
          <t>Бембеева Марина:</t>
        </r>
        <r>
          <rPr>
            <sz val="9"/>
            <color indexed="81"/>
            <rFont val="Tahoma"/>
            <family val="2"/>
            <charset val="204"/>
          </rPr>
          <t xml:space="preserve">
от 150 до 250к на магазин</t>
        </r>
      </text>
    </comment>
  </commentList>
</comments>
</file>

<file path=xl/sharedStrings.xml><?xml version="1.0" encoding="utf-8"?>
<sst xmlns="http://schemas.openxmlformats.org/spreadsheetml/2006/main" count="108" uniqueCount="83">
  <si>
    <t>Количество продавцов:</t>
  </si>
  <si>
    <t>Арендная ставка</t>
  </si>
  <si>
    <t>Оклад продавца (бонусы не считать):</t>
  </si>
  <si>
    <t>Депозит (кол-во месяцев)</t>
  </si>
  <si>
    <t>Прочие расходы</t>
  </si>
  <si>
    <t>Закупка продукции</t>
  </si>
  <si>
    <t>Внесение пред/оплат</t>
  </si>
  <si>
    <t>Аренда и комунальные платежи (ДЕПОЗИТ)</t>
  </si>
  <si>
    <t>Зароботная плата ФОТ</t>
  </si>
  <si>
    <t>Зароботная плата (%с продаж)</t>
  </si>
  <si>
    <t>Налоги</t>
  </si>
  <si>
    <t>Транспортные расходы</t>
  </si>
  <si>
    <t>Свет</t>
  </si>
  <si>
    <t>Регистрация фирмы</t>
  </si>
  <si>
    <t>Мебель</t>
  </si>
  <si>
    <t>Оплата на открытие</t>
  </si>
  <si>
    <t>Манекены</t>
  </si>
  <si>
    <t>Витрины</t>
  </si>
  <si>
    <t xml:space="preserve">Охрана(противокражное оборудование) </t>
  </si>
  <si>
    <t>Реклама</t>
  </si>
  <si>
    <t>РЕМОНТ+Вывеска+Компьютер+ПО</t>
  </si>
  <si>
    <t xml:space="preserve">Закуп оборудования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</si>
  <si>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</si>
  <si>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</si>
  <si>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</si>
  <si>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</si>
  <si>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</si>
  <si>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</si>
  <si>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</si>
  <si>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</si>
  <si>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</si>
  <si>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</si>
  <si>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</si>
  <si>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</si>
  <si>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сезонность</t>
  </si>
  <si>
    <t>месяц</t>
  </si>
  <si>
    <t>Номер месяца</t>
  </si>
  <si>
    <t>Бухгалтер и управляющий</t>
  </si>
  <si>
    <t>Столица</t>
  </si>
  <si>
    <t>Облака</t>
  </si>
  <si>
    <t>Семеновский</t>
  </si>
  <si>
    <t>РИО</t>
  </si>
  <si>
    <t>Город Лефортово</t>
  </si>
  <si>
    <t>Парк-Хаус</t>
  </si>
  <si>
    <t>Русь</t>
  </si>
  <si>
    <t>К.Маркса, 49</t>
  </si>
  <si>
    <t>О'Кей</t>
  </si>
  <si>
    <t>Вега</t>
  </si>
  <si>
    <t>Водолей</t>
  </si>
  <si>
    <t>Невский</t>
  </si>
  <si>
    <t>Захар</t>
  </si>
  <si>
    <t>МЕГА САМАРА</t>
  </si>
  <si>
    <t>Аквариум</t>
  </si>
  <si>
    <t>Айсберг</t>
  </si>
  <si>
    <t>Империя</t>
  </si>
  <si>
    <t>Вивалэнд</t>
  </si>
  <si>
    <t>Новый Век</t>
  </si>
  <si>
    <t>Маяк</t>
  </si>
  <si>
    <t>Парк Сочи</t>
  </si>
  <si>
    <t>Плаза</t>
  </si>
  <si>
    <t>На воровского</t>
  </si>
  <si>
    <t>площадь</t>
  </si>
  <si>
    <t>магазин</t>
  </si>
  <si>
    <t>средняя</t>
  </si>
  <si>
    <t>С кв.м.</t>
  </si>
  <si>
    <t>Коэффициенты сезонности</t>
  </si>
  <si>
    <t>Транспортировка</t>
  </si>
  <si>
    <t>Если не знаете что указать, заполнять не нужно</t>
  </si>
  <si>
    <t>Оклад администратора (бонусы не считать):</t>
  </si>
  <si>
    <t>База</t>
  </si>
  <si>
    <t>Квадратура магазина</t>
  </si>
  <si>
    <t>Коммунальные платежи (в месяц)</t>
  </si>
  <si>
    <t>Уборка магазина (в месяц)</t>
  </si>
  <si>
    <t>Техническое обслуживание кассы (в месяц)</t>
  </si>
  <si>
    <t>Телефон/интернет (в месяц)</t>
  </si>
  <si>
    <t>Хозяйственные расходы (в месяц)</t>
  </si>
  <si>
    <t>Бонусы продавца</t>
  </si>
  <si>
    <t>Бонусы администратора</t>
  </si>
  <si>
    <t>Расходы на охрану</t>
  </si>
  <si>
    <t>Прочие расходы (укажите какие именно)</t>
  </si>
  <si>
    <t>Расходы на рекламу</t>
  </si>
  <si>
    <t>Кредит (с указанием % ставки)</t>
  </si>
  <si>
    <t xml:space="preserve">План расходов на открытие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</si>
</sst>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&quot;р.&quot;_-;\-* #,##0&quot;р.&quot;_-;_-* &quot;-&quot;??&quot;р.&quot;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39">
    <xf numFmtId="0" fontId="0" fillId="0" borderId="0" xfId="0"/>
    <xf numFmtId="0" fontId="4" fillId="4" borderId="4" xfId="0" applyFont="1" applyFill="1" applyBorder="1" applyAlignment="1">
      <alignment horizontal="left" wrapText="1"/>
    </xf>
    <xf numFmtId="0" fontId="3" fillId="5" borderId="5" xfId="0" applyFont="1" applyFill="1" applyBorder="1" applyAlignment="1">
      <alignment horizontal="left" wrapText="1"/>
    </xf>
    <xf numFmtId="165" fontId="3" fillId="3" borderId="2" xfId="0" applyNumberFormat="1" applyFont="1" applyFill="1" applyBorder="1" applyAlignment="1">
      <alignment horizontal="center" wrapText="1"/>
    </xf>
    <xf numFmtId="165" fontId="3" fillId="3" borderId="2" xfId="1" applyFont="1" applyFill="1" applyBorder="1" applyAlignment="1">
      <alignment horizontal="center" wrapText="1"/>
    </xf>
    <xf numFmtId="165" fontId="3" fillId="5" borderId="2" xfId="1" applyFont="1" applyFill="1" applyBorder="1" applyAlignment="1">
      <alignment horizontal="center" wrapText="1"/>
    </xf>
    <xf numFmtId="165" fontId="3" fillId="2" borderId="2" xfId="1" applyFont="1" applyFill="1" applyBorder="1" applyAlignment="1">
      <alignment horizontal="center" wrapText="1"/>
    </xf>
    <xf numFmtId="165" fontId="3" fillId="5" borderId="2" xfId="1" applyNumberFormat="1" applyFont="1" applyFill="1" applyBorder="1" applyAlignment="1">
      <alignment horizontal="center" wrapText="1"/>
    </xf>
    <xf numFmtId="165" fontId="3" fillId="2" borderId="2" xfId="1" applyNumberFormat="1" applyFont="1" applyFill="1" applyBorder="1" applyAlignment="1">
      <alignment horizontal="center" wrapText="1"/>
    </xf>
    <xf numFmtId="0" fontId="3" fillId="6" borderId="5" xfId="0" applyFont="1" applyFill="1" applyBorder="1" applyAlignment="1">
      <alignment horizontal="left" wrapText="1"/>
    </xf>
    <xf numFmtId="165" fontId="3" fillId="3" borderId="2" xfId="1" applyNumberFormat="1" applyFont="1" applyFill="1" applyBorder="1" applyAlignment="1">
      <alignment horizontal="center" wrapText="1"/>
    </xf>
    <xf numFmtId="167" fontId="8" fillId="4" borderId="1" xfId="0" applyNumberFormat="1" applyFont="1" applyFill="1" applyBorder="1" applyAlignment="1">
      <alignment horizontal="center" wrapText="1"/>
    </xf>
    <xf numFmtId="2" fontId="9" fillId="7" borderId="3" xfId="0" applyNumberFormat="1" applyFont="1" applyFill="1" applyBorder="1" applyAlignment="1">
      <alignment horizontal="center" vertical="center" wrapText="1"/>
    </xf>
    <xf numFmtId="2" fontId="9" fillId="7" borderId="6" xfId="0" applyNumberFormat="1" applyFont="1" applyFill="1" applyBorder="1" applyAlignment="1">
      <alignment horizontal="center" vertical="center" wrapText="1"/>
    </xf>
    <xf numFmtId="164" fontId="9" fillId="7" borderId="3" xfId="0" applyNumberFormat="1" applyFont="1" applyFill="1" applyBorder="1" applyAlignment="1">
      <alignment horizontal="center" vertical="center" wrapText="1"/>
    </xf>
    <xf numFmtId="164" fontId="9" fillId="7" borderId="6" xfId="0" applyNumberFormat="1" applyFont="1" applyFill="1" applyBorder="1" applyAlignment="1">
      <alignment horizontal="center" vertical="center" wrapText="1"/>
    </xf>
    <xf numFmtId="164" fontId="10" fillId="4" borderId="4" xfId="0" applyNumberFormat="1" applyFont="1" applyFill="1" applyBorder="1" applyAlignment="1">
      <alignment vertical="center" wrapText="1"/>
    </xf>
    <xf numFmtId="164" fontId="10" fillId="8" borderId="4" xfId="0" applyNumberFormat="1" applyFont="1" applyFill="1" applyBorder="1" applyAlignment="1">
      <alignment vertical="center" wrapText="1"/>
    </xf>
    <xf numFmtId="164" fontId="0" fillId="0" borderId="0" xfId="0" applyNumberFormat="1"/>
    <xf numFmtId="1" fontId="11" fillId="0" borderId="0" xfId="0" applyNumberFormat="1" applyFont="1"/>
    <xf numFmtId="2" fontId="0" fillId="0" borderId="0" xfId="0" applyNumberFormat="1"/>
    <xf numFmtId="2" fontId="10" fillId="4" borderId="0" xfId="0" applyNumberFormat="1" applyFont="1" applyFill="1" applyBorder="1" applyAlignment="1">
      <alignment vertical="center" wrapText="1"/>
    </xf>
    <xf numFmtId="2" fontId="10" fillId="8" borderId="0" xfId="0" applyNumberFormat="1" applyFont="1" applyFill="1" applyBorder="1" applyAlignment="1">
      <alignment vertical="center" wrapText="1"/>
    </xf>
    <xf numFmtId="166" fontId="0" fillId="0" borderId="0" xfId="0" applyNumberFormat="1"/>
    <xf numFmtId="164" fontId="9" fillId="7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7" fontId="0" fillId="0" borderId="0" xfId="0" applyNumberFormat="1"/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13" fillId="0" borderId="11" xfId="0" applyFont="1" applyBorder="1" applyAlignment="1">
      <alignment vertical="center" wrapText="1"/>
    </xf>
    <xf numFmtId="9" fontId="2" fillId="0" borderId="7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</cellXfs>
  <cellStyles count="4">
    <cellStyle name="Денежный 2" xfId="1"/>
    <cellStyle name="Обычный" xfId="0" builtinId="0"/>
    <cellStyle name="Обычный 2" xfId="3"/>
    <cellStyle name="Процентный 2" xfId="2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C49"/>
  <sheetViews>
    <sheetView tabSelected="1" workbookViewId="0">
      <selection activeCell="B17" sqref="B17"/>
    </sheetView>
  </sheetViews>
  <sheetFormatPr defaultRowHeight="15" x14ac:dyDescent="0.25"/>
  <cols>
    <col min="2" max="2" width="51.85546875" customWidth="1"/>
    <col min="3" max="3" width="27.85546875" customWidth="1"/>
    <col min="4" max="4" width="12.42578125" customWidth="1"/>
  </cols>
  <sheetData>
    <row r="2" spans="2:3" ht="15.75" thickBot="1" x14ac:dyDescent="0.3">
      <c r="B2" s="32" t="s">
        <v>67</v>
      </c>
      <c r="C2" s="32"/>
    </row>
    <row r="3" spans="2:3" ht="16.5" customHeight="1" x14ac:dyDescent="0.25">
      <c r="B3" s="33" t="s">
        <v>70</v>
      </c>
      <c r="C3" s="36"/>
    </row>
    <row r="4" spans="2:3" ht="15" customHeight="1" x14ac:dyDescent="0.25">
      <c r="B4" s="34"/>
      <c r="C4" s="37"/>
    </row>
    <row r="5" spans="2:3" ht="15.75" customHeight="1" thickBot="1" x14ac:dyDescent="0.3">
      <c r="B5" s="35"/>
      <c r="C5" s="38"/>
    </row>
    <row r="6" spans="2:3" ht="16.5" thickBot="1" x14ac:dyDescent="0.3">
      <c r="B6" s="30" t="s">
        <v>1</v>
      </c>
      <c r="C6" s="27"/>
    </row>
    <row r="7" spans="2:3" ht="16.5" thickBot="1" x14ac:dyDescent="0.3">
      <c r="B7" s="30" t="s">
        <v>3</v>
      </c>
      <c r="C7" s="27"/>
    </row>
    <row r="8" spans="2:3" ht="16.5" thickBot="1" x14ac:dyDescent="0.3">
      <c r="B8" s="30" t="s">
        <v>71</v>
      </c>
      <c r="C8" s="27"/>
    </row>
    <row r="9" spans="2:3" ht="16.5" thickBot="1" x14ac:dyDescent="0.3">
      <c r="B9" s="30" t="s">
        <v>72</v>
      </c>
      <c r="C9" s="27"/>
    </row>
    <row r="10" spans="2:3" ht="16.5" thickBot="1" x14ac:dyDescent="0.3">
      <c r="B10" s="30" t="s">
        <v>73</v>
      </c>
      <c r="C10" s="27"/>
    </row>
    <row r="11" spans="2:3" ht="16.5" thickBot="1" x14ac:dyDescent="0.3">
      <c r="B11" s="30" t="s">
        <v>74</v>
      </c>
      <c r="C11" s="27"/>
    </row>
    <row r="12" spans="2:3" ht="16.5" thickBot="1" x14ac:dyDescent="0.3">
      <c r="B12" s="30" t="s">
        <v>75</v>
      </c>
      <c r="C12" s="27"/>
    </row>
    <row r="13" spans="2:3" ht="16.5" thickBot="1" x14ac:dyDescent="0.3">
      <c r="B13" s="30" t="s">
        <v>0</v>
      </c>
      <c r="C13" s="28"/>
    </row>
    <row r="14" spans="2:3" ht="16.5" thickBot="1" x14ac:dyDescent="0.3">
      <c r="B14" s="30" t="s">
        <v>2</v>
      </c>
      <c r="C14" s="28"/>
    </row>
    <row r="15" spans="2:3" ht="16.5" thickBot="1" x14ac:dyDescent="0.3">
      <c r="B15" s="30" t="s">
        <v>76</v>
      </c>
      <c r="C15" s="31"/>
    </row>
    <row r="16" spans="2:3" ht="16.5" thickBot="1" x14ac:dyDescent="0.3">
      <c r="B16" s="30" t="s">
        <v>68</v>
      </c>
      <c r="C16" s="28"/>
    </row>
    <row r="17" spans="2:3" ht="16.5" thickBot="1" x14ac:dyDescent="0.3">
      <c r="B17" s="30" t="s">
        <v>77</v>
      </c>
      <c r="C17" s="28"/>
    </row>
    <row r="18" spans="2:3" ht="16.5" thickBot="1" x14ac:dyDescent="0.3">
      <c r="B18" s="30" t="s">
        <v>78</v>
      </c>
      <c r="C18" s="28"/>
    </row>
    <row r="19" spans="2:3" ht="16.5" thickBot="1" x14ac:dyDescent="0.3">
      <c r="B19" s="30" t="s">
        <v>80</v>
      </c>
      <c r="C19" s="27"/>
    </row>
    <row r="20" spans="2:3" ht="16.5" thickBot="1" x14ac:dyDescent="0.3">
      <c r="B20" s="30" t="s">
        <v>66</v>
      </c>
      <c r="C20" s="27"/>
    </row>
    <row r="21" spans="2:3" ht="16.5" thickBot="1" x14ac:dyDescent="0.3">
      <c r="B21" s="30" t="s">
        <v>10</v>
      </c>
      <c r="C21" s="27"/>
    </row>
    <row r="22" spans="2:3" ht="16.5" thickBot="1" x14ac:dyDescent="0.3">
      <c r="B22" s="30" t="s">
        <v>81</v>
      </c>
      <c r="C22" s="27"/>
    </row>
    <row r="23" spans="2:3" ht="16.5" thickBot="1" x14ac:dyDescent="0.3">
      <c r="B23" s="30" t="s">
        <v>79</v>
      </c>
      <c r="C23" s="29"/>
    </row>
    <row r="24" spans="2:3" ht="16.5" thickBot="1" x14ac:dyDescent="0.3">
      <c r="B24" s="30"/>
      <c r="C24" s="29"/>
    </row>
    <row r="28" spans="2:3" hidden="1" x14ac:dyDescent="0.25">
      <c r="B28" s="1" t="s">
        <v>82</v>
      </c>
      <c r="C28" s="11"/>
    </row>
    <row r="29" spans="2:3" hidden="1" x14ac:dyDescent="0.25">
      <c r="B29" s="2" t="s">
        <v>5</v>
      </c>
      <c r="C29" s="3">
        <f>C13*C19</f>
        <v>0</v>
      </c>
    </row>
    <row r="30" spans="2:3" hidden="1" x14ac:dyDescent="0.25">
      <c r="B30" s="2" t="s">
        <v>6</v>
      </c>
      <c r="C30" s="4">
        <f>C29*0.2</f>
        <v>0</v>
      </c>
    </row>
    <row r="31" spans="2:3" hidden="1" x14ac:dyDescent="0.25">
      <c r="B31" s="2" t="s">
        <v>7</v>
      </c>
      <c r="C31" s="4">
        <f>C14*C13*C15</f>
        <v>0</v>
      </c>
    </row>
    <row r="32" spans="2:3" hidden="1" x14ac:dyDescent="0.25">
      <c r="B32" s="2" t="s">
        <v>8</v>
      </c>
      <c r="C32" s="5"/>
    </row>
    <row r="33" spans="2:3" hidden="1" x14ac:dyDescent="0.25">
      <c r="B33" s="2" t="s">
        <v>9</v>
      </c>
      <c r="C33" s="5">
        <v>0</v>
      </c>
    </row>
    <row r="34" spans="2:3" hidden="1" x14ac:dyDescent="0.25">
      <c r="B34" s="2" t="s">
        <v>10</v>
      </c>
      <c r="C34" s="5"/>
    </row>
    <row r="35" spans="2:3" hidden="1" x14ac:dyDescent="0.25">
      <c r="B35" s="2" t="s">
        <v>11</v>
      </c>
      <c r="C35" s="6"/>
    </row>
    <row r="36" spans="2:3" hidden="1" x14ac:dyDescent="0.25">
      <c r="B36" s="2" t="s">
        <v>37</v>
      </c>
      <c r="C36" s="6">
        <v>0</v>
      </c>
    </row>
    <row r="37" spans="2:3" hidden="1" x14ac:dyDescent="0.25">
      <c r="B37" s="2" t="s">
        <v>69</v>
      </c>
      <c r="C37" s="6">
        <v>0</v>
      </c>
    </row>
    <row r="38" spans="2:3" hidden="1" x14ac:dyDescent="0.25">
      <c r="B38" s="2" t="s">
        <v>12</v>
      </c>
      <c r="C38" s="6"/>
    </row>
    <row r="39" spans="2:3" hidden="1" x14ac:dyDescent="0.25">
      <c r="B39" s="2" t="s">
        <v>13</v>
      </c>
      <c r="C39" s="6">
        <v>0</v>
      </c>
    </row>
    <row r="40" spans="2:3" hidden="1" x14ac:dyDescent="0.25">
      <c r="B40" s="2" t="s">
        <v>4</v>
      </c>
      <c r="C40" s="6">
        <v>0</v>
      </c>
    </row>
    <row r="41" spans="2:3" hidden="1" x14ac:dyDescent="0.25">
      <c r="B41" s="2" t="s">
        <v>14</v>
      </c>
      <c r="C41" s="6">
        <v>0</v>
      </c>
    </row>
    <row r="42" spans="2:3" hidden="1" x14ac:dyDescent="0.25">
      <c r="B42" s="2" t="s">
        <v>15</v>
      </c>
      <c r="C42" s="6">
        <v>0</v>
      </c>
    </row>
    <row r="43" spans="2:3" hidden="1" x14ac:dyDescent="0.25">
      <c r="B43" s="2" t="s">
        <v>16</v>
      </c>
      <c r="C43" s="6">
        <v>0</v>
      </c>
    </row>
    <row r="44" spans="2:3" hidden="1" x14ac:dyDescent="0.25">
      <c r="B44" s="2" t="s">
        <v>17</v>
      </c>
      <c r="C44" s="6">
        <v>0</v>
      </c>
    </row>
    <row r="45" spans="2:3" hidden="1" x14ac:dyDescent="0.25">
      <c r="B45" s="2" t="s">
        <v>66</v>
      </c>
      <c r="C45" s="7"/>
    </row>
    <row r="46" spans="2:3" hidden="1" x14ac:dyDescent="0.25">
      <c r="B46" s="2" t="s">
        <v>18</v>
      </c>
      <c r="C46" s="8">
        <v>0</v>
      </c>
    </row>
    <row r="47" spans="2:3" hidden="1" x14ac:dyDescent="0.25">
      <c r="B47" s="9" t="s">
        <v>19</v>
      </c>
      <c r="C47" s="8">
        <f>Форма!D27</f>
        <v>0</v>
      </c>
    </row>
    <row r="48" spans="2:3" hidden="1" x14ac:dyDescent="0.25">
      <c r="B48" s="2" t="s">
        <v>20</v>
      </c>
      <c r="C48" s="10">
        <f>SUM(K16:K18)</f>
        <v>0</v>
      </c>
    </row>
    <row r="49" spans="2:3" hidden="1" x14ac:dyDescent="0.25">
      <c r="B49" s="2" t="s">
        <v>21</v>
      </c>
      <c r="C49" s="3"/>
    </row>
  </sheetData>
  <mergeCells count="3">
    <mergeCell ref="B2:C2"/>
    <mergeCell ref="B3:B5"/>
    <mergeCell ref="C3:C5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A15" sqref="A15"/>
    </sheetView>
  </sheetViews>
  <sheetFormatPr defaultRowHeight="15" x14ac:dyDescent="0.25"/>
  <sheetData>
    <row r="1" spans="1:3" x14ac:dyDescent="0.25">
      <c r="A1" t="s">
        <v>35</v>
      </c>
      <c r="B1" t="s">
        <v>34</v>
      </c>
      <c r="C1" t="s">
        <v>36</v>
      </c>
    </row>
    <row r="2" spans="1:3" x14ac:dyDescent="0.25">
      <c r="A2" t="s">
        <v>33</v>
      </c>
      <c r="B2" s="25">
        <v>0.9</v>
      </c>
      <c r="C2">
        <v>1</v>
      </c>
    </row>
    <row r="3" spans="1:3" x14ac:dyDescent="0.25">
      <c r="A3" t="s">
        <v>22</v>
      </c>
      <c r="B3" s="25">
        <v>0.8</v>
      </c>
      <c r="C3">
        <v>2</v>
      </c>
    </row>
    <row r="4" spans="1:3" x14ac:dyDescent="0.25">
      <c r="A4" t="s">
        <v>23</v>
      </c>
      <c r="B4" s="25">
        <v>1</v>
      </c>
      <c r="C4">
        <v>3</v>
      </c>
    </row>
    <row r="5" spans="1:3" x14ac:dyDescent="0.25">
      <c r="A5" t="s">
        <v>24</v>
      </c>
      <c r="B5" s="25">
        <v>0.8</v>
      </c>
      <c r="C5">
        <v>4</v>
      </c>
    </row>
    <row r="6" spans="1:3" x14ac:dyDescent="0.25">
      <c r="A6" t="s">
        <v>25</v>
      </c>
      <c r="B6" s="25">
        <v>1.1000000000000001</v>
      </c>
      <c r="C6">
        <v>5</v>
      </c>
    </row>
    <row r="7" spans="1:3" x14ac:dyDescent="0.25">
      <c r="A7" t="s">
        <v>26</v>
      </c>
      <c r="B7" s="25">
        <v>1.1499999999999999</v>
      </c>
      <c r="C7">
        <v>6</v>
      </c>
    </row>
    <row r="8" spans="1:3" x14ac:dyDescent="0.25">
      <c r="A8" t="s">
        <v>27</v>
      </c>
      <c r="B8" s="25">
        <v>1.4</v>
      </c>
      <c r="C8">
        <v>7</v>
      </c>
    </row>
    <row r="9" spans="1:3" x14ac:dyDescent="0.25">
      <c r="A9" t="s">
        <v>28</v>
      </c>
      <c r="B9" s="25">
        <v>1.2</v>
      </c>
      <c r="C9">
        <v>8</v>
      </c>
    </row>
    <row r="10" spans="1:3" x14ac:dyDescent="0.25">
      <c r="A10" t="s">
        <v>29</v>
      </c>
      <c r="B10" s="25">
        <v>0.9</v>
      </c>
      <c r="C10">
        <v>9</v>
      </c>
    </row>
    <row r="11" spans="1:3" x14ac:dyDescent="0.25">
      <c r="A11" t="s">
        <v>30</v>
      </c>
      <c r="B11" s="25">
        <v>0.7</v>
      </c>
      <c r="C11">
        <v>10</v>
      </c>
    </row>
    <row r="12" spans="1:3" x14ac:dyDescent="0.25">
      <c r="A12" t="s">
        <v>31</v>
      </c>
      <c r="B12" s="25">
        <v>0.7</v>
      </c>
      <c r="C12">
        <v>11</v>
      </c>
    </row>
    <row r="13" spans="1:3" x14ac:dyDescent="0.25">
      <c r="A13" s="26" t="s">
        <v>32</v>
      </c>
      <c r="B13" s="25">
        <v>1.2</v>
      </c>
      <c r="C13">
        <v>12</v>
      </c>
    </row>
    <row r="14" spans="1:3" x14ac:dyDescent="0.25">
      <c r="A14" t="s">
        <v>33</v>
      </c>
    </row>
    <row r="15" spans="1:3" x14ac:dyDescent="0.25">
      <c r="A15" t="s">
        <v>22</v>
      </c>
    </row>
    <row r="16" spans="1:3" x14ac:dyDescent="0.25">
      <c r="A16" t="s">
        <v>23</v>
      </c>
    </row>
    <row r="17" spans="1:1" x14ac:dyDescent="0.25">
      <c r="A17" t="s">
        <v>24</v>
      </c>
    </row>
    <row r="18" spans="1:1" x14ac:dyDescent="0.25">
      <c r="A18" t="s">
        <v>25</v>
      </c>
    </row>
    <row r="19" spans="1:1" x14ac:dyDescent="0.25">
      <c r="A19" t="s">
        <v>26</v>
      </c>
    </row>
    <row r="20" spans="1:1" x14ac:dyDescent="0.25">
      <c r="A20" t="s">
        <v>27</v>
      </c>
    </row>
    <row r="21" spans="1:1" x14ac:dyDescent="0.25">
      <c r="A21" t="s">
        <v>28</v>
      </c>
    </row>
    <row r="22" spans="1:1" x14ac:dyDescent="0.25">
      <c r="A22" t="s">
        <v>29</v>
      </c>
    </row>
    <row r="23" spans="1:1" x14ac:dyDescent="0.25">
      <c r="A23" t="s">
        <v>30</v>
      </c>
    </row>
    <row r="24" spans="1:1" x14ac:dyDescent="0.25">
      <c r="A24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8"/>
  <sheetViews>
    <sheetView workbookViewId="0">
      <pane xSplit="2" topLeftCell="O1" activePane="topRight" state="frozen"/>
      <selection activeCell="A15" sqref="A15"/>
      <selection pane="topRight" activeCell="A15" sqref="A15"/>
    </sheetView>
  </sheetViews>
  <sheetFormatPr defaultRowHeight="15" x14ac:dyDescent="0.25"/>
  <cols>
    <col min="2" max="24" width="15.7109375" customWidth="1"/>
    <col min="25" max="25" width="13.140625" bestFit="1" customWidth="1"/>
  </cols>
  <sheetData>
    <row r="2" spans="1:16" ht="15.75" thickBot="1" x14ac:dyDescent="0.3">
      <c r="A2" t="s">
        <v>61</v>
      </c>
      <c r="B2" t="s">
        <v>62</v>
      </c>
      <c r="C2" t="s">
        <v>33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63</v>
      </c>
      <c r="P2" t="s">
        <v>64</v>
      </c>
    </row>
    <row r="3" spans="1:16" ht="15.75" thickBot="1" x14ac:dyDescent="0.3">
      <c r="A3" s="12">
        <v>29.2</v>
      </c>
      <c r="B3" s="14" t="s">
        <v>47</v>
      </c>
      <c r="C3" s="16">
        <v>162490</v>
      </c>
      <c r="D3" s="16">
        <v>150629</v>
      </c>
      <c r="E3" s="16">
        <v>179854</v>
      </c>
      <c r="F3" s="17">
        <v>127903</v>
      </c>
      <c r="G3" s="17">
        <v>136271</v>
      </c>
      <c r="H3" s="17">
        <v>125677</v>
      </c>
      <c r="I3" s="17">
        <v>171001</v>
      </c>
      <c r="J3" s="19">
        <f>282805*(1-0.13)</f>
        <v>246040.35</v>
      </c>
      <c r="K3" s="19">
        <f>171571*(1-0.13)</f>
        <v>149266.76999999999</v>
      </c>
      <c r="L3" s="19">
        <f>187425*(1-0.13)</f>
        <v>163059.75</v>
      </c>
      <c r="M3" s="19">
        <f>138418*(1-0.13)</f>
        <v>120423.66</v>
      </c>
      <c r="N3" s="19">
        <f>243966*(1-0.13)</f>
        <v>212250.42</v>
      </c>
      <c r="O3" s="18">
        <f t="shared" ref="O3:O25" si="0">AVERAGE(C3:I3)</f>
        <v>150546.42857142858</v>
      </c>
      <c r="P3" s="23">
        <f t="shared" ref="P3:P24" si="1">MROUND(O3/A3,1000)</f>
        <v>5000</v>
      </c>
    </row>
    <row r="4" spans="1:16" ht="15.75" thickBot="1" x14ac:dyDescent="0.3">
      <c r="A4" s="13">
        <v>37</v>
      </c>
      <c r="B4" s="15" t="s">
        <v>49</v>
      </c>
      <c r="C4" s="16">
        <v>167537</v>
      </c>
      <c r="D4" s="16">
        <v>152531</v>
      </c>
      <c r="E4" s="16">
        <v>171775</v>
      </c>
      <c r="F4" s="17">
        <v>131336</v>
      </c>
      <c r="G4" s="17">
        <v>225652</v>
      </c>
      <c r="H4" s="17">
        <v>197192</v>
      </c>
      <c r="I4" s="17">
        <v>224690</v>
      </c>
      <c r="J4" s="19">
        <f>250214*(1-0.13)</f>
        <v>217686.18</v>
      </c>
      <c r="K4" s="19">
        <f>210984*(1-0.13)</f>
        <v>183556.08</v>
      </c>
      <c r="L4" s="19">
        <f>192527*(1-0.13)</f>
        <v>167498.49</v>
      </c>
      <c r="M4" s="19">
        <f>134073*(1-0.13)</f>
        <v>116643.51</v>
      </c>
      <c r="N4" s="19">
        <f>233583*(1-0.13)</f>
        <v>203217.21</v>
      </c>
      <c r="O4" s="18">
        <f t="shared" si="0"/>
        <v>181530.42857142858</v>
      </c>
      <c r="P4" s="23">
        <f t="shared" si="1"/>
        <v>5000</v>
      </c>
    </row>
    <row r="5" spans="1:16" ht="15.75" thickBot="1" x14ac:dyDescent="0.3">
      <c r="A5" s="13">
        <v>132</v>
      </c>
      <c r="B5" s="15" t="s">
        <v>45</v>
      </c>
      <c r="C5" s="16">
        <v>596214</v>
      </c>
      <c r="D5" s="16">
        <v>558387</v>
      </c>
      <c r="E5" s="16">
        <v>749176</v>
      </c>
      <c r="F5" s="17">
        <v>688029</v>
      </c>
      <c r="G5" s="17">
        <v>890781</v>
      </c>
      <c r="H5" s="17">
        <v>924117</v>
      </c>
      <c r="I5" s="17">
        <v>1062121</v>
      </c>
      <c r="J5" s="19">
        <f>965378*(1-0.13)</f>
        <v>839878.86</v>
      </c>
      <c r="K5" s="19">
        <f>618982*(1-0.13)</f>
        <v>538514.34</v>
      </c>
      <c r="L5" s="19">
        <f>590635*(1-0.13)</f>
        <v>513852.45</v>
      </c>
      <c r="M5" s="19">
        <f>634007*(1-0.13)</f>
        <v>551586.09</v>
      </c>
      <c r="N5" s="19">
        <f>952256*(1-0.13)</f>
        <v>828462.72</v>
      </c>
      <c r="O5" s="18">
        <f t="shared" si="0"/>
        <v>781260.71428571432</v>
      </c>
      <c r="P5" s="23">
        <f t="shared" si="1"/>
        <v>6000</v>
      </c>
    </row>
    <row r="6" spans="1:16" ht="15.75" thickBot="1" x14ac:dyDescent="0.3">
      <c r="A6" s="13">
        <v>25.7</v>
      </c>
      <c r="B6" s="15" t="s">
        <v>48</v>
      </c>
      <c r="C6" s="16">
        <v>157202</v>
      </c>
      <c r="D6" s="16">
        <v>176507</v>
      </c>
      <c r="E6" s="16">
        <v>196522</v>
      </c>
      <c r="F6" s="17">
        <v>222560</v>
      </c>
      <c r="G6" s="17">
        <v>261037</v>
      </c>
      <c r="H6" s="17">
        <v>262825</v>
      </c>
      <c r="I6" s="17">
        <v>197221</v>
      </c>
      <c r="J6" s="19">
        <f>285840*(1-0.13)</f>
        <v>248680.8</v>
      </c>
      <c r="K6" s="19">
        <f>207345*(1-0.13)</f>
        <v>180390.15</v>
      </c>
      <c r="L6" s="19">
        <f>220080*(1-0.13)</f>
        <v>191469.6</v>
      </c>
      <c r="M6" s="19">
        <f>226798*(1-0.13)</f>
        <v>197314.26</v>
      </c>
      <c r="N6" s="19">
        <f>253091*(1-0.13)</f>
        <v>220189.17</v>
      </c>
      <c r="O6" s="18">
        <f t="shared" si="0"/>
        <v>210553.42857142858</v>
      </c>
      <c r="P6" s="23">
        <f t="shared" si="1"/>
        <v>8000</v>
      </c>
    </row>
    <row r="7" spans="1:16" ht="15.75" thickBot="1" x14ac:dyDescent="0.3">
      <c r="A7" s="13">
        <v>51.8</v>
      </c>
      <c r="B7" s="15" t="s">
        <v>52</v>
      </c>
      <c r="C7" s="16">
        <v>287897</v>
      </c>
      <c r="D7" s="16">
        <v>348897</v>
      </c>
      <c r="E7" s="16">
        <v>454957</v>
      </c>
      <c r="F7" s="17">
        <v>336257</v>
      </c>
      <c r="G7" s="17">
        <v>420429</v>
      </c>
      <c r="H7" s="17">
        <v>465327</v>
      </c>
      <c r="I7" s="17">
        <v>524312</v>
      </c>
      <c r="J7" s="19">
        <f>510856*(1-0.13)</f>
        <v>444444.72</v>
      </c>
      <c r="K7" s="19">
        <f>397538*(1-0.13)</f>
        <v>345858.06</v>
      </c>
      <c r="L7" s="19">
        <f>442125*(1-0.13)</f>
        <v>384648.75</v>
      </c>
      <c r="M7" s="19">
        <f>272105*(1-0.13)</f>
        <v>236731.35</v>
      </c>
      <c r="N7" s="19">
        <f>521760*(1-0.13)</f>
        <v>453931.2</v>
      </c>
      <c r="O7" s="18">
        <f t="shared" si="0"/>
        <v>405439.42857142858</v>
      </c>
      <c r="P7" s="23">
        <f t="shared" si="1"/>
        <v>8000</v>
      </c>
    </row>
    <row r="8" spans="1:16" ht="15.75" thickBot="1" x14ac:dyDescent="0.3">
      <c r="A8" s="12">
        <v>40.9</v>
      </c>
      <c r="B8" s="14" t="s">
        <v>46</v>
      </c>
      <c r="C8" s="16">
        <v>371380</v>
      </c>
      <c r="D8" s="16">
        <v>307609</v>
      </c>
      <c r="E8" s="16">
        <v>380121</v>
      </c>
      <c r="F8" s="17">
        <v>303592</v>
      </c>
      <c r="G8" s="17">
        <v>379979</v>
      </c>
      <c r="H8" s="17">
        <v>359109</v>
      </c>
      <c r="I8" s="17">
        <v>523405</v>
      </c>
      <c r="J8" s="19">
        <f>665484*(1-0.13)</f>
        <v>578971.07999999996</v>
      </c>
      <c r="K8" s="19">
        <f>401479*(1-0.13)</f>
        <v>349286.73</v>
      </c>
      <c r="L8" s="19">
        <f>409888*(1-0.13)</f>
        <v>356602.56</v>
      </c>
      <c r="M8" s="19">
        <f>401945*(1-0.13)</f>
        <v>349692.15</v>
      </c>
      <c r="N8" s="19">
        <f>521029*(1-0.13)</f>
        <v>453295.23</v>
      </c>
      <c r="O8" s="18">
        <f t="shared" si="0"/>
        <v>375027.85714285716</v>
      </c>
      <c r="P8" s="23">
        <f t="shared" si="1"/>
        <v>9000</v>
      </c>
    </row>
    <row r="9" spans="1:16" ht="15.75" thickBot="1" x14ac:dyDescent="0.3">
      <c r="A9" s="13">
        <v>55</v>
      </c>
      <c r="B9" s="15" t="s">
        <v>50</v>
      </c>
      <c r="C9" s="16">
        <v>403599</v>
      </c>
      <c r="D9" s="16">
        <v>462101</v>
      </c>
      <c r="E9" s="16">
        <v>554177</v>
      </c>
      <c r="F9" s="17">
        <v>492970</v>
      </c>
      <c r="G9" s="17">
        <v>614616</v>
      </c>
      <c r="H9" s="17">
        <v>560801</v>
      </c>
      <c r="I9" s="17">
        <v>722915</v>
      </c>
      <c r="J9" s="19">
        <f>590045*(1-0.13)</f>
        <v>513339.15</v>
      </c>
      <c r="K9" s="19">
        <f>434258*(1-0.13)</f>
        <v>377804.46</v>
      </c>
      <c r="L9" s="19">
        <f>407272*(1-0.13)</f>
        <v>354326.64</v>
      </c>
      <c r="M9" s="19">
        <f>444550*(1-0.13)</f>
        <v>386758.5</v>
      </c>
      <c r="N9" s="19">
        <f>610345*(1-0.13)</f>
        <v>531000.15</v>
      </c>
      <c r="O9" s="18">
        <f t="shared" si="0"/>
        <v>544454.14285714284</v>
      </c>
      <c r="P9" s="23">
        <f t="shared" si="1"/>
        <v>10000</v>
      </c>
    </row>
    <row r="10" spans="1:16" ht="15.75" thickBot="1" x14ac:dyDescent="0.3">
      <c r="A10" s="13">
        <v>36.299999999999997</v>
      </c>
      <c r="B10" s="15" t="s">
        <v>53</v>
      </c>
      <c r="C10" s="16">
        <v>262519</v>
      </c>
      <c r="D10" s="16">
        <v>286530</v>
      </c>
      <c r="E10" s="16">
        <v>329232</v>
      </c>
      <c r="F10" s="17">
        <v>300637</v>
      </c>
      <c r="G10" s="17">
        <v>384456</v>
      </c>
      <c r="H10" s="17">
        <v>408923</v>
      </c>
      <c r="I10" s="17">
        <v>477490</v>
      </c>
      <c r="J10" s="19">
        <f>447366*(1-0.13)</f>
        <v>389208.42</v>
      </c>
      <c r="K10" s="19">
        <f>274908*(1-0.13)</f>
        <v>239169.96</v>
      </c>
      <c r="L10" s="19">
        <f>321470*(1-0.13)</f>
        <v>279678.90000000002</v>
      </c>
      <c r="M10" s="19">
        <f>266064*(1-0.13)</f>
        <v>231475.68</v>
      </c>
      <c r="N10" s="19">
        <f>575610*(1-0.13)</f>
        <v>500780.7</v>
      </c>
      <c r="O10" s="18">
        <f t="shared" si="0"/>
        <v>349969.57142857142</v>
      </c>
      <c r="P10" s="23">
        <f t="shared" si="1"/>
        <v>10000</v>
      </c>
    </row>
    <row r="11" spans="1:16" ht="15.75" thickBot="1" x14ac:dyDescent="0.3">
      <c r="A11" s="13">
        <v>42.48</v>
      </c>
      <c r="B11" s="15" t="s">
        <v>54</v>
      </c>
      <c r="C11" s="16">
        <v>405579</v>
      </c>
      <c r="D11" s="16">
        <v>369425</v>
      </c>
      <c r="E11" s="16">
        <v>476042</v>
      </c>
      <c r="F11" s="17">
        <v>365293</v>
      </c>
      <c r="G11" s="17">
        <v>446260</v>
      </c>
      <c r="H11" s="17">
        <v>435870</v>
      </c>
      <c r="I11" s="17">
        <v>485051</v>
      </c>
      <c r="J11" s="19">
        <f>482959*(1-0.13)</f>
        <v>420174.33</v>
      </c>
      <c r="K11" s="19">
        <f>327439*(1-0.13)</f>
        <v>284871.93</v>
      </c>
      <c r="L11" s="19">
        <f>376393*(1-0.13)</f>
        <v>327461.90999999997</v>
      </c>
      <c r="M11" s="19">
        <f>374741*(1-0.13)</f>
        <v>326024.67</v>
      </c>
      <c r="N11" s="19">
        <f>557890*(1-0.13)</f>
        <v>485364.3</v>
      </c>
      <c r="O11" s="18">
        <f t="shared" si="0"/>
        <v>426217.14285714284</v>
      </c>
      <c r="P11" s="23">
        <f t="shared" si="1"/>
        <v>10000</v>
      </c>
    </row>
    <row r="12" spans="1:16" ht="15.75" thickBot="1" x14ac:dyDescent="0.3">
      <c r="A12" s="13">
        <v>48.2</v>
      </c>
      <c r="B12" s="15" t="s">
        <v>42</v>
      </c>
      <c r="C12" s="16">
        <v>496041</v>
      </c>
      <c r="D12" s="16">
        <v>393275</v>
      </c>
      <c r="E12" s="16">
        <v>533981</v>
      </c>
      <c r="F12" s="17">
        <v>426852</v>
      </c>
      <c r="G12" s="17">
        <v>655859</v>
      </c>
      <c r="H12" s="17">
        <v>497479</v>
      </c>
      <c r="I12" s="17">
        <v>700550</v>
      </c>
      <c r="J12" s="19">
        <f>632141*(1-0.13)</f>
        <v>549962.67000000004</v>
      </c>
      <c r="K12" s="19">
        <f>549271*(1-0.13)</f>
        <v>477865.77</v>
      </c>
      <c r="L12" s="19">
        <f>401060*(1-0.13)</f>
        <v>348922.2</v>
      </c>
      <c r="M12" s="19">
        <f>423338*(1-0.13)</f>
        <v>368304.06</v>
      </c>
      <c r="N12" s="19">
        <f>725969*(1-0.13)</f>
        <v>631593.03</v>
      </c>
      <c r="O12" s="18">
        <f t="shared" si="0"/>
        <v>529148.14285714284</v>
      </c>
      <c r="P12" s="23">
        <f t="shared" si="1"/>
        <v>11000</v>
      </c>
    </row>
    <row r="13" spans="1:16" ht="15.75" thickBot="1" x14ac:dyDescent="0.3">
      <c r="A13" s="13">
        <v>45.37</v>
      </c>
      <c r="B13" s="15" t="s">
        <v>51</v>
      </c>
      <c r="C13" s="16">
        <v>493217</v>
      </c>
      <c r="D13" s="16">
        <v>296876</v>
      </c>
      <c r="E13" s="16">
        <v>457622</v>
      </c>
      <c r="F13" s="17">
        <v>373814</v>
      </c>
      <c r="G13" s="17">
        <v>416784</v>
      </c>
      <c r="H13" s="17">
        <v>587048</v>
      </c>
      <c r="I13" s="17">
        <v>786879</v>
      </c>
      <c r="J13" s="19">
        <f>486263*(1-0.13)</f>
        <v>423048.81</v>
      </c>
      <c r="K13" s="19">
        <f>369098*(1-0.13)</f>
        <v>321115.26</v>
      </c>
      <c r="L13" s="19">
        <f>284617*(1-0.13)</f>
        <v>247616.79</v>
      </c>
      <c r="M13" s="19">
        <f>407338*(1-0.13)</f>
        <v>354384.06</v>
      </c>
      <c r="N13" s="19">
        <f>549141*(1-0.13)</f>
        <v>477752.67</v>
      </c>
      <c r="O13" s="18">
        <f t="shared" si="0"/>
        <v>487462.85714285716</v>
      </c>
      <c r="P13" s="23">
        <f t="shared" si="1"/>
        <v>11000</v>
      </c>
    </row>
    <row r="14" spans="1:16" ht="15.75" thickBot="1" x14ac:dyDescent="0.3">
      <c r="A14" s="13">
        <v>24.9</v>
      </c>
      <c r="B14" s="15" t="s">
        <v>60</v>
      </c>
      <c r="C14" s="16">
        <v>258049</v>
      </c>
      <c r="D14" s="16">
        <v>256131</v>
      </c>
      <c r="E14" s="16">
        <v>212067</v>
      </c>
      <c r="F14" s="17">
        <v>260979</v>
      </c>
      <c r="G14" s="17">
        <v>286128</v>
      </c>
      <c r="H14" s="17">
        <v>367213</v>
      </c>
      <c r="I14" s="17">
        <v>400505</v>
      </c>
      <c r="J14" s="19">
        <f>526646*(1-0.13)</f>
        <v>458182.02</v>
      </c>
      <c r="K14" s="19">
        <f>381512*(1-0.13)</f>
        <v>331915.44</v>
      </c>
      <c r="L14" s="19">
        <f>361306*(1-0.13)</f>
        <v>314336.21999999997</v>
      </c>
      <c r="M14" s="19">
        <f>422517*(1-0.13)</f>
        <v>367589.79</v>
      </c>
      <c r="N14" s="19">
        <f>430079*(1-0.13)</f>
        <v>374168.73</v>
      </c>
      <c r="O14" s="18">
        <f t="shared" si="0"/>
        <v>291581.71428571426</v>
      </c>
      <c r="P14" s="23">
        <f t="shared" si="1"/>
        <v>12000</v>
      </c>
    </row>
    <row r="15" spans="1:16" ht="15.75" thickBot="1" x14ac:dyDescent="0.3">
      <c r="A15" s="13">
        <v>37.4</v>
      </c>
      <c r="B15" s="15" t="s">
        <v>57</v>
      </c>
      <c r="C15" s="16">
        <v>193626</v>
      </c>
      <c r="D15" s="16">
        <v>345161</v>
      </c>
      <c r="E15" s="16">
        <v>265131</v>
      </c>
      <c r="F15" s="17">
        <v>286604</v>
      </c>
      <c r="G15" s="17">
        <v>523228</v>
      </c>
      <c r="H15" s="17">
        <v>832928</v>
      </c>
      <c r="I15" s="17">
        <v>941986</v>
      </c>
      <c r="J15" s="19">
        <f>1036007*(1-0.13)</f>
        <v>901326.09</v>
      </c>
      <c r="K15" s="19">
        <f>706174*(1-0.13)</f>
        <v>614371.38</v>
      </c>
      <c r="L15" s="19">
        <f>165532*(1-0.13)</f>
        <v>144012.84</v>
      </c>
      <c r="M15" s="19">
        <f>127281*(1-0.13)</f>
        <v>110734.47</v>
      </c>
      <c r="N15" s="19">
        <f>150437*(1-0.13)</f>
        <v>130880.19</v>
      </c>
      <c r="O15" s="18">
        <f t="shared" si="0"/>
        <v>484094.85714285716</v>
      </c>
      <c r="P15" s="23">
        <f t="shared" si="1"/>
        <v>13000</v>
      </c>
    </row>
    <row r="16" spans="1:16" ht="15.75" thickBot="1" x14ac:dyDescent="0.3">
      <c r="A16" s="13">
        <v>39.9</v>
      </c>
      <c r="B16" s="15" t="s">
        <v>55</v>
      </c>
      <c r="C16" s="16">
        <v>398114</v>
      </c>
      <c r="D16" s="16">
        <v>419732</v>
      </c>
      <c r="E16" s="16">
        <v>552482</v>
      </c>
      <c r="F16" s="17">
        <v>523449</v>
      </c>
      <c r="G16" s="17">
        <v>594687</v>
      </c>
      <c r="H16" s="17">
        <v>598122</v>
      </c>
      <c r="I16" s="17">
        <v>759746</v>
      </c>
      <c r="J16" s="19">
        <f>562383*(1-0.13)</f>
        <v>489273.21</v>
      </c>
      <c r="K16" s="19">
        <f>423277*(1-0.13)</f>
        <v>368250.99</v>
      </c>
      <c r="L16" s="19">
        <f>449446*(1-0.13)</f>
        <v>391018.02</v>
      </c>
      <c r="M16" s="19">
        <f>499867*(1-0.13)</f>
        <v>434884.29</v>
      </c>
      <c r="N16" s="19">
        <f>827751*(1-0.13)</f>
        <v>720143.37</v>
      </c>
      <c r="O16" s="18">
        <f t="shared" si="0"/>
        <v>549476</v>
      </c>
      <c r="P16" s="23">
        <f t="shared" si="1"/>
        <v>14000</v>
      </c>
    </row>
    <row r="17" spans="1:16" ht="15.75" thickBot="1" x14ac:dyDescent="0.3">
      <c r="A17" s="13">
        <v>50</v>
      </c>
      <c r="B17" s="15" t="s">
        <v>59</v>
      </c>
      <c r="C17" s="16">
        <v>677429</v>
      </c>
      <c r="D17" s="16">
        <v>670371</v>
      </c>
      <c r="E17" s="16">
        <v>684007</v>
      </c>
      <c r="F17" s="17">
        <v>381498</v>
      </c>
      <c r="G17" s="17">
        <v>625895</v>
      </c>
      <c r="H17" s="17">
        <v>865282</v>
      </c>
      <c r="I17" s="17">
        <v>1009323</v>
      </c>
      <c r="J17" s="19">
        <f>766358*(1-0.13)</f>
        <v>666731.46</v>
      </c>
      <c r="K17" s="19">
        <f>630813*(1-0.13)</f>
        <v>548807.30999999994</v>
      </c>
      <c r="L17" s="19">
        <f>564822*(1-0.13)</f>
        <v>491395.14</v>
      </c>
      <c r="M17" s="19">
        <f>449156*(1-0.13)</f>
        <v>390765.72</v>
      </c>
      <c r="N17" s="19">
        <f>822329*(1-0.13)</f>
        <v>715426.23</v>
      </c>
      <c r="O17" s="18">
        <f t="shared" si="0"/>
        <v>701972.14285714284</v>
      </c>
      <c r="P17" s="23">
        <f t="shared" si="1"/>
        <v>14000</v>
      </c>
    </row>
    <row r="18" spans="1:16" ht="15.75" thickBot="1" x14ac:dyDescent="0.3">
      <c r="A18" s="13">
        <v>45.6</v>
      </c>
      <c r="B18" s="15" t="s">
        <v>38</v>
      </c>
      <c r="C18" s="16">
        <v>632573</v>
      </c>
      <c r="D18" s="16">
        <v>606309</v>
      </c>
      <c r="E18" s="16">
        <v>625819</v>
      </c>
      <c r="F18" s="17">
        <v>554387</v>
      </c>
      <c r="G18" s="17">
        <v>776879</v>
      </c>
      <c r="H18" s="17">
        <v>736375</v>
      </c>
      <c r="I18" s="17">
        <v>857604</v>
      </c>
      <c r="J18" s="19">
        <f>978353*(1-0.13)</f>
        <v>851167.11</v>
      </c>
      <c r="K18" s="19">
        <f>594176*(1-0.13)</f>
        <v>516933.12</v>
      </c>
      <c r="L18" s="19">
        <f>663355*(1-0.13)</f>
        <v>577118.85</v>
      </c>
      <c r="M18" s="19">
        <f>490099*(1-0.13)</f>
        <v>426386.13</v>
      </c>
      <c r="N18" s="19">
        <f>996650*(1-0.13)</f>
        <v>867085.5</v>
      </c>
      <c r="O18" s="18">
        <f t="shared" si="0"/>
        <v>684278</v>
      </c>
      <c r="P18" s="23">
        <f t="shared" si="1"/>
        <v>15000</v>
      </c>
    </row>
    <row r="19" spans="1:16" ht="15.75" thickBot="1" x14ac:dyDescent="0.3">
      <c r="A19" s="13">
        <v>65</v>
      </c>
      <c r="B19" s="15" t="s">
        <v>43</v>
      </c>
      <c r="C19" s="16">
        <v>989144</v>
      </c>
      <c r="D19" s="16">
        <v>807682</v>
      </c>
      <c r="E19" s="16">
        <v>924849</v>
      </c>
      <c r="F19" s="17">
        <v>652525</v>
      </c>
      <c r="G19" s="17">
        <v>1032849</v>
      </c>
      <c r="H19" s="17">
        <v>967519</v>
      </c>
      <c r="I19" s="17">
        <v>1299436</v>
      </c>
      <c r="J19" s="19">
        <f>1347723*(1-0.13)</f>
        <v>1172519.01</v>
      </c>
      <c r="K19" s="19">
        <f>843863*(1-0.13)</f>
        <v>734160.80999999994</v>
      </c>
      <c r="L19" s="19">
        <f>741916*(1-0.13)</f>
        <v>645466.92000000004</v>
      </c>
      <c r="M19" s="19">
        <f>697472*(1-0.13)</f>
        <v>606800.64000000001</v>
      </c>
      <c r="N19" s="19">
        <f>1433907*(1-0.13)</f>
        <v>1247499.0900000001</v>
      </c>
      <c r="O19" s="18">
        <f t="shared" si="0"/>
        <v>953429.14285714284</v>
      </c>
      <c r="P19" s="23">
        <f t="shared" si="1"/>
        <v>15000</v>
      </c>
    </row>
    <row r="20" spans="1:16" ht="15.75" thickBot="1" x14ac:dyDescent="0.3">
      <c r="A20" s="13">
        <v>29.5</v>
      </c>
      <c r="B20" s="15" t="s">
        <v>41</v>
      </c>
      <c r="C20" s="16">
        <v>485916</v>
      </c>
      <c r="D20" s="16">
        <v>450136</v>
      </c>
      <c r="E20" s="16">
        <v>421235</v>
      </c>
      <c r="F20" s="17">
        <v>368686</v>
      </c>
      <c r="G20" s="17">
        <v>450291</v>
      </c>
      <c r="H20" s="17">
        <v>471204</v>
      </c>
      <c r="I20" s="17">
        <v>694881</v>
      </c>
      <c r="J20" s="19">
        <f>699539*(1-0.13)</f>
        <v>608598.93000000005</v>
      </c>
      <c r="K20" s="19">
        <f>484970*(1-0.13)</f>
        <v>421923.9</v>
      </c>
      <c r="L20" s="19">
        <f>464988*(1-0.13)</f>
        <v>404539.56</v>
      </c>
      <c r="M20" s="19">
        <f>407206*(1-0.13)</f>
        <v>354269.22</v>
      </c>
      <c r="N20" s="19">
        <f>651568*(1-0.13)</f>
        <v>566864.16</v>
      </c>
      <c r="O20" s="18">
        <f t="shared" si="0"/>
        <v>477478.42857142858</v>
      </c>
      <c r="P20" s="23">
        <f t="shared" si="1"/>
        <v>16000</v>
      </c>
    </row>
    <row r="21" spans="1:16" ht="15.75" thickBot="1" x14ac:dyDescent="0.3">
      <c r="A21" s="12">
        <v>25</v>
      </c>
      <c r="B21" s="14" t="s">
        <v>56</v>
      </c>
      <c r="C21" s="16">
        <v>364843</v>
      </c>
      <c r="D21" s="16">
        <v>379534</v>
      </c>
      <c r="E21" s="16">
        <v>445828</v>
      </c>
      <c r="F21" s="17">
        <v>243442</v>
      </c>
      <c r="G21" s="17">
        <v>301311</v>
      </c>
      <c r="H21" s="17">
        <v>480010</v>
      </c>
      <c r="I21" s="17">
        <v>614529</v>
      </c>
      <c r="J21" s="19">
        <f>827466*(1-0.13)</f>
        <v>719895.42</v>
      </c>
      <c r="K21" s="19">
        <f>568558*(1-0.13)</f>
        <v>494645.46</v>
      </c>
      <c r="L21" s="19">
        <f>459898*(1-0.13)</f>
        <v>400111.26</v>
      </c>
      <c r="M21" s="19">
        <f>367691*(1-0.13)</f>
        <v>319891.17</v>
      </c>
      <c r="N21" s="19">
        <f>604024*(1-0.13)</f>
        <v>525500.88</v>
      </c>
      <c r="O21" s="18">
        <f t="shared" si="0"/>
        <v>404213.85714285716</v>
      </c>
      <c r="P21" s="23">
        <f t="shared" si="1"/>
        <v>16000</v>
      </c>
    </row>
    <row r="22" spans="1:16" ht="15.75" thickBot="1" x14ac:dyDescent="0.3">
      <c r="A22" s="13">
        <v>20</v>
      </c>
      <c r="B22" s="15" t="s">
        <v>58</v>
      </c>
      <c r="C22" s="16">
        <v>277327</v>
      </c>
      <c r="D22" s="16">
        <v>360391</v>
      </c>
      <c r="E22" s="16">
        <v>346628</v>
      </c>
      <c r="F22" s="17">
        <v>234886</v>
      </c>
      <c r="G22" s="17">
        <v>364209</v>
      </c>
      <c r="H22" s="17">
        <v>396947</v>
      </c>
      <c r="I22" s="17">
        <v>508244</v>
      </c>
      <c r="J22" s="19">
        <f>657423*(1-0.13)</f>
        <v>571958.01</v>
      </c>
      <c r="K22" s="19">
        <f>433461*(1-0.13)</f>
        <v>377111.07</v>
      </c>
      <c r="L22" s="19">
        <f>360552*(1-0.13)</f>
        <v>313680.24</v>
      </c>
      <c r="M22" s="19">
        <f>264045*(1-0.13)</f>
        <v>229719.15</v>
      </c>
      <c r="N22" s="19">
        <f>363902*(1-0.13)</f>
        <v>316594.74</v>
      </c>
      <c r="O22" s="18">
        <f t="shared" si="0"/>
        <v>355518.85714285716</v>
      </c>
      <c r="P22" s="23">
        <f t="shared" si="1"/>
        <v>18000</v>
      </c>
    </row>
    <row r="23" spans="1:16" ht="15.75" thickBot="1" x14ac:dyDescent="0.3">
      <c r="A23" s="13">
        <v>34.1</v>
      </c>
      <c r="B23" s="15" t="s">
        <v>39</v>
      </c>
      <c r="C23" s="16">
        <v>550875</v>
      </c>
      <c r="D23" s="16">
        <v>507977</v>
      </c>
      <c r="E23" s="16">
        <v>653341</v>
      </c>
      <c r="F23" s="17">
        <v>482843</v>
      </c>
      <c r="G23" s="17">
        <v>696218</v>
      </c>
      <c r="H23" s="17">
        <v>839368</v>
      </c>
      <c r="I23" s="17">
        <v>965946</v>
      </c>
      <c r="J23" s="19">
        <f>1044254*(1-0.13)</f>
        <v>908500.98</v>
      </c>
      <c r="K23" s="19">
        <f>674607*(1-0.13)</f>
        <v>586908.09</v>
      </c>
      <c r="L23" s="19">
        <f>629718*(1-0.13)</f>
        <v>547854.66</v>
      </c>
      <c r="M23" s="19">
        <f>582139*(1-0.13)</f>
        <v>506460.93</v>
      </c>
      <c r="N23" s="19">
        <f>1021831*(1-0.13)</f>
        <v>888992.97</v>
      </c>
      <c r="O23" s="18">
        <f t="shared" si="0"/>
        <v>670938.28571428568</v>
      </c>
      <c r="P23" s="23">
        <f t="shared" si="1"/>
        <v>20000</v>
      </c>
    </row>
    <row r="24" spans="1:16" ht="15.75" thickBot="1" x14ac:dyDescent="0.3">
      <c r="A24" s="13">
        <v>32.200000000000003</v>
      </c>
      <c r="B24" s="15" t="s">
        <v>40</v>
      </c>
      <c r="C24" s="16">
        <v>1560821</v>
      </c>
      <c r="D24" s="16">
        <v>1506650</v>
      </c>
      <c r="E24" s="16">
        <v>1611815</v>
      </c>
      <c r="F24" s="17">
        <v>1523416</v>
      </c>
      <c r="G24" s="17">
        <v>1802270</v>
      </c>
      <c r="H24" s="17">
        <v>1841229</v>
      </c>
      <c r="I24" s="17">
        <v>2398900</v>
      </c>
      <c r="J24" s="19">
        <f>2459666*(1-0.13)</f>
        <v>2139909.42</v>
      </c>
      <c r="K24" s="19">
        <f>1776700*(1-0.13)</f>
        <v>1545729</v>
      </c>
      <c r="L24" s="19">
        <f>1026911*(1-0.13)</f>
        <v>893412.57</v>
      </c>
      <c r="M24" s="19">
        <f>1838034*(1-0.13)</f>
        <v>1599089.58</v>
      </c>
      <c r="N24" s="19">
        <f>3022221*(1-0.13)</f>
        <v>2629332.27</v>
      </c>
      <c r="O24" s="18">
        <f t="shared" si="0"/>
        <v>1749300.142857143</v>
      </c>
      <c r="P24" s="23">
        <f t="shared" si="1"/>
        <v>54000</v>
      </c>
    </row>
    <row r="25" spans="1:16" ht="15.75" thickBot="1" x14ac:dyDescent="0.3">
      <c r="A25" s="13"/>
      <c r="B25" s="15" t="s">
        <v>44</v>
      </c>
      <c r="C25" s="16">
        <v>640629</v>
      </c>
      <c r="D25" s="16">
        <v>439303</v>
      </c>
      <c r="E25" s="16">
        <v>741864</v>
      </c>
      <c r="F25" s="17">
        <v>562493</v>
      </c>
      <c r="G25" s="17">
        <v>948449</v>
      </c>
      <c r="H25" s="17">
        <v>908860</v>
      </c>
      <c r="I25" s="17">
        <v>991079</v>
      </c>
      <c r="J25" s="19">
        <f>718872*(1-0.13)</f>
        <v>625418.64</v>
      </c>
      <c r="K25" s="19">
        <f>490806*(1-0.13)</f>
        <v>427001.22</v>
      </c>
      <c r="L25" s="19">
        <f>489340*(1-0.13)</f>
        <v>425725.8</v>
      </c>
      <c r="M25" s="19">
        <f>431162*(1-0.13)</f>
        <v>375110.94</v>
      </c>
      <c r="N25" s="19">
        <f>1106485*(1-0.13)</f>
        <v>962641.95</v>
      </c>
      <c r="O25" s="18">
        <f t="shared" si="0"/>
        <v>747525.28571428568</v>
      </c>
      <c r="P25" s="23"/>
    </row>
    <row r="26" spans="1:16" x14ac:dyDescent="0.25">
      <c r="C26" s="18">
        <f t="shared" ref="C26:O26" si="2">SUM(C3:C25)</f>
        <v>10833021</v>
      </c>
      <c r="D26" s="18">
        <f t="shared" si="2"/>
        <v>10252144</v>
      </c>
      <c r="E26" s="18">
        <f t="shared" si="2"/>
        <v>11968525</v>
      </c>
      <c r="F26" s="18">
        <f t="shared" si="2"/>
        <v>9844451</v>
      </c>
      <c r="G26" s="18">
        <f t="shared" si="2"/>
        <v>13234538</v>
      </c>
      <c r="H26" s="18">
        <f t="shared" si="2"/>
        <v>14129425</v>
      </c>
      <c r="I26" s="18">
        <f t="shared" si="2"/>
        <v>17317814</v>
      </c>
      <c r="J26" s="18">
        <f t="shared" si="2"/>
        <v>14984915.670000002</v>
      </c>
      <c r="K26" s="18">
        <f t="shared" si="2"/>
        <v>10415457.300000001</v>
      </c>
      <c r="L26" s="18">
        <f t="shared" si="2"/>
        <v>8883810.120000001</v>
      </c>
      <c r="M26" s="18">
        <f t="shared" si="2"/>
        <v>8961040.0199999996</v>
      </c>
      <c r="N26" s="18">
        <f t="shared" si="2"/>
        <v>14942966.880000001</v>
      </c>
      <c r="O26" s="18">
        <f t="shared" si="2"/>
        <v>12511416.857142856</v>
      </c>
    </row>
    <row r="27" spans="1:16" x14ac:dyDescent="0.25">
      <c r="C27" s="20">
        <f t="shared" ref="C27:N27" si="3">C26/AVERAGE($C$26:$N$26)</f>
        <v>0.89180173765387694</v>
      </c>
      <c r="D27" s="20">
        <f t="shared" si="3"/>
        <v>0.84398247117565528</v>
      </c>
      <c r="E27" s="20">
        <f t="shared" si="3"/>
        <v>0.9852793040975244</v>
      </c>
      <c r="F27" s="20">
        <f t="shared" si="3"/>
        <v>0.81042015039465409</v>
      </c>
      <c r="G27" s="20">
        <f t="shared" si="3"/>
        <v>1.08950070210759</v>
      </c>
      <c r="H27" s="20">
        <f t="shared" si="3"/>
        <v>1.1631700674308791</v>
      </c>
      <c r="I27" s="20">
        <f t="shared" si="3"/>
        <v>1.4256463287172283</v>
      </c>
      <c r="J27" s="20">
        <f t="shared" si="3"/>
        <v>1.2335962270453285</v>
      </c>
      <c r="K27" s="20">
        <f t="shared" si="3"/>
        <v>0.85742683583829093</v>
      </c>
      <c r="L27" s="20">
        <f t="shared" si="3"/>
        <v>0.73133775906121645</v>
      </c>
      <c r="M27" s="20">
        <f t="shared" si="3"/>
        <v>0.73769552011594286</v>
      </c>
      <c r="N27" s="20">
        <f t="shared" si="3"/>
        <v>1.230142896361812</v>
      </c>
    </row>
    <row r="28" spans="1:16" ht="24" x14ac:dyDescent="0.25">
      <c r="B28" s="24" t="s">
        <v>65</v>
      </c>
      <c r="C28" s="21">
        <v>0.9</v>
      </c>
      <c r="D28" s="21">
        <v>0.8</v>
      </c>
      <c r="E28" s="21">
        <v>1</v>
      </c>
      <c r="F28" s="22">
        <v>0.8</v>
      </c>
      <c r="G28" s="22">
        <v>1.1000000000000001</v>
      </c>
      <c r="H28" s="22">
        <v>1.1499999999999999</v>
      </c>
      <c r="I28" s="22">
        <v>1.4</v>
      </c>
      <c r="J28" s="20">
        <v>1.2</v>
      </c>
      <c r="K28" s="20">
        <v>0.9</v>
      </c>
      <c r="L28" s="20">
        <v>0.7</v>
      </c>
      <c r="M28" s="20">
        <v>0.7</v>
      </c>
      <c r="N28" s="20">
        <v>1.2</v>
      </c>
    </row>
  </sheetData>
  <autoFilter ref="A2:AA2">
    <sortState ref="A3:AA28">
      <sortCondition ref="P2"/>
    </sortState>
  </autoFilter>
  <conditionalFormatting sqref="C3:C7">
    <cfRule type="iconSet" priority="21">
      <iconSet iconSet="3Signs">
        <cfvo type="percent" val="0"/>
        <cfvo type="percent" val="33"/>
        <cfvo type="percent" val="67"/>
      </iconSet>
    </cfRule>
  </conditionalFormatting>
  <conditionalFormatting sqref="C8:C13">
    <cfRule type="iconSet" priority="20">
      <iconSet iconSet="3Signs">
        <cfvo type="percent" val="0"/>
        <cfvo type="percent" val="33"/>
        <cfvo type="percent" val="67"/>
      </iconSet>
    </cfRule>
  </conditionalFormatting>
  <conditionalFormatting sqref="C21:C25 C28">
    <cfRule type="iconSet" priority="19">
      <iconSet iconSet="3Signs">
        <cfvo type="percent" val="0"/>
        <cfvo type="percent" val="33"/>
        <cfvo type="percent" val="67"/>
      </iconSet>
    </cfRule>
  </conditionalFormatting>
  <conditionalFormatting sqref="D3:D7">
    <cfRule type="iconSet" priority="18">
      <iconSet iconSet="3Signs">
        <cfvo type="percent" val="0"/>
        <cfvo type="percent" val="33"/>
        <cfvo type="percent" val="67"/>
      </iconSet>
    </cfRule>
  </conditionalFormatting>
  <conditionalFormatting sqref="D8:D13">
    <cfRule type="iconSet" priority="17">
      <iconSet iconSet="3Signs">
        <cfvo type="percent" val="0"/>
        <cfvo type="percent" val="33"/>
        <cfvo type="percent" val="67"/>
      </iconSet>
    </cfRule>
  </conditionalFormatting>
  <conditionalFormatting sqref="D21:D25 D28">
    <cfRule type="iconSet" priority="16">
      <iconSet iconSet="3Signs">
        <cfvo type="percent" val="0"/>
        <cfvo type="percent" val="33"/>
        <cfvo type="percent" val="67"/>
      </iconSet>
    </cfRule>
  </conditionalFormatting>
  <conditionalFormatting sqref="E3:E7">
    <cfRule type="iconSet" priority="15">
      <iconSet iconSet="3Signs">
        <cfvo type="percent" val="0"/>
        <cfvo type="percent" val="33"/>
        <cfvo type="percent" val="67"/>
      </iconSet>
    </cfRule>
  </conditionalFormatting>
  <conditionalFormatting sqref="E8:E13">
    <cfRule type="iconSet" priority="14">
      <iconSet iconSet="3Signs">
        <cfvo type="percent" val="0"/>
        <cfvo type="percent" val="33"/>
        <cfvo type="percent" val="67"/>
      </iconSet>
    </cfRule>
  </conditionalFormatting>
  <conditionalFormatting sqref="E21:E25 E28">
    <cfRule type="iconSet" priority="13">
      <iconSet iconSet="3Signs">
        <cfvo type="percent" val="0"/>
        <cfvo type="percent" val="33"/>
        <cfvo type="percent" val="67"/>
      </iconSet>
    </cfRule>
  </conditionalFormatting>
  <conditionalFormatting sqref="F3:F7">
    <cfRule type="iconSet" priority="12">
      <iconSet iconSet="3Signs">
        <cfvo type="percent" val="0"/>
        <cfvo type="percent" val="33"/>
        <cfvo type="percent" val="67"/>
      </iconSet>
    </cfRule>
  </conditionalFormatting>
  <conditionalFormatting sqref="F8:F13">
    <cfRule type="iconSet" priority="11">
      <iconSet iconSet="3Signs">
        <cfvo type="percent" val="0"/>
        <cfvo type="percent" val="33"/>
        <cfvo type="percent" val="67"/>
      </iconSet>
    </cfRule>
  </conditionalFormatting>
  <conditionalFormatting sqref="F21:F25 F28">
    <cfRule type="iconSet" priority="10">
      <iconSet iconSet="3Signs">
        <cfvo type="percent" val="0"/>
        <cfvo type="percent" val="33"/>
        <cfvo type="percent" val="67"/>
      </iconSet>
    </cfRule>
  </conditionalFormatting>
  <conditionalFormatting sqref="G3:G7">
    <cfRule type="iconSet" priority="9">
      <iconSet iconSet="3Signs">
        <cfvo type="percent" val="0"/>
        <cfvo type="percent" val="33"/>
        <cfvo type="percent" val="67"/>
      </iconSet>
    </cfRule>
  </conditionalFormatting>
  <conditionalFormatting sqref="G8:G13">
    <cfRule type="iconSet" priority="8">
      <iconSet iconSet="3Signs">
        <cfvo type="percent" val="0"/>
        <cfvo type="percent" val="33"/>
        <cfvo type="percent" val="67"/>
      </iconSet>
    </cfRule>
  </conditionalFormatting>
  <conditionalFormatting sqref="G21:G25 G28">
    <cfRule type="iconSet" priority="7">
      <iconSet iconSet="3Signs">
        <cfvo type="percent" val="0"/>
        <cfvo type="percent" val="33"/>
        <cfvo type="percent" val="67"/>
      </iconSet>
    </cfRule>
  </conditionalFormatting>
  <conditionalFormatting sqref="H3:H7">
    <cfRule type="iconSet" priority="6">
      <iconSet iconSet="3Signs">
        <cfvo type="percent" val="0"/>
        <cfvo type="percent" val="33"/>
        <cfvo type="percent" val="67"/>
      </iconSet>
    </cfRule>
  </conditionalFormatting>
  <conditionalFormatting sqref="H8:H13">
    <cfRule type="iconSet" priority="5">
      <iconSet iconSet="3Signs">
        <cfvo type="percent" val="0"/>
        <cfvo type="percent" val="33"/>
        <cfvo type="percent" val="67"/>
      </iconSet>
    </cfRule>
  </conditionalFormatting>
  <conditionalFormatting sqref="H21:H25 H28">
    <cfRule type="iconSet" priority="4">
      <iconSet iconSet="3Signs">
        <cfvo type="percent" val="0"/>
        <cfvo type="percent" val="33"/>
        <cfvo type="percent" val="67"/>
      </iconSet>
    </cfRule>
  </conditionalFormatting>
  <conditionalFormatting sqref="I3:I7">
    <cfRule type="iconSet" priority="3">
      <iconSet iconSet="3Signs">
        <cfvo type="percent" val="0"/>
        <cfvo type="percent" val="33"/>
        <cfvo type="percent" val="67"/>
      </iconSet>
    </cfRule>
  </conditionalFormatting>
  <conditionalFormatting sqref="I8:I13">
    <cfRule type="iconSet" priority="2">
      <iconSet iconSet="3Signs">
        <cfvo type="percent" val="0"/>
        <cfvo type="percent" val="33"/>
        <cfvo type="percent" val="67"/>
      </iconSet>
    </cfRule>
  </conditionalFormatting>
  <conditionalFormatting sqref="I21:I25 I28">
    <cfRule type="iconSet" priority="1">
      <iconSet iconSet="3Signs">
        <cfvo type="percent" val="0"/>
        <cfvo type="percent" val="33"/>
        <cfvo type="percent" val="67"/>
      </iconSet>
    </cfRule>
  </conditionalFormatting>
  <conditionalFormatting sqref="C14:C20">
    <cfRule type="iconSet" priority="22">
      <iconSet iconSet="3Signs">
        <cfvo type="percent" val="0"/>
        <cfvo type="percent" val="33"/>
        <cfvo type="percent" val="67"/>
      </iconSet>
    </cfRule>
  </conditionalFormatting>
  <conditionalFormatting sqref="D14:D20">
    <cfRule type="iconSet" priority="23">
      <iconSet iconSet="3Signs">
        <cfvo type="percent" val="0"/>
        <cfvo type="percent" val="33"/>
        <cfvo type="percent" val="67"/>
      </iconSet>
    </cfRule>
  </conditionalFormatting>
  <conditionalFormatting sqref="E14:E20">
    <cfRule type="iconSet" priority="24">
      <iconSet iconSet="3Signs">
        <cfvo type="percent" val="0"/>
        <cfvo type="percent" val="33"/>
        <cfvo type="percent" val="67"/>
      </iconSet>
    </cfRule>
  </conditionalFormatting>
  <conditionalFormatting sqref="F14:F20">
    <cfRule type="iconSet" priority="25">
      <iconSet iconSet="3Signs">
        <cfvo type="percent" val="0"/>
        <cfvo type="percent" val="33"/>
        <cfvo type="percent" val="67"/>
      </iconSet>
    </cfRule>
  </conditionalFormatting>
  <conditionalFormatting sqref="G14:G20">
    <cfRule type="iconSet" priority="26">
      <iconSet iconSet="3Signs">
        <cfvo type="percent" val="0"/>
        <cfvo type="percent" val="33"/>
        <cfvo type="percent" val="67"/>
      </iconSet>
    </cfRule>
  </conditionalFormatting>
  <conditionalFormatting sqref="H14:H20">
    <cfRule type="iconSet" priority="27">
      <iconSet iconSet="3Signs">
        <cfvo type="percent" val="0"/>
        <cfvo type="percent" val="33"/>
        <cfvo type="percent" val="67"/>
      </iconSet>
    </cfRule>
  </conditionalFormatting>
  <conditionalFormatting sqref="I14:I20">
    <cfRule type="iconSet" priority="28">
      <iconSet iconSet="3Signs">
        <cfvo type="percent" val="0"/>
        <cfvo type="percent" val="33"/>
        <cfvo type="percent" val="67"/>
      </iconSet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Форма</vt:lpstr>
      <vt:lpstr>коэф.сезонности</vt:lpstr>
      <vt:lpstr>статистика</vt:lpstr>
      <vt:lpstr>Форма!OLE_LINK1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manager</cp:lastModifiedBy>
  <dcterms:created xsi:type="dcterms:W3CDTF">2014-08-28T07:50:22Z</dcterms:created>
  <dcterms:modified xsi:type="dcterms:W3CDTF">2019-04-24T09:27:45Z</dcterms:modified>
</cp:coreProperties>
</file>